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0320" windowHeight="8115"/>
  </bookViews>
  <sheets>
    <sheet name="Sheet1" sheetId="103" r:id="rId1"/>
  </sheets>
  <definedNames>
    <definedName name="_xlnm.Print_Area" localSheetId="0">Sheet1!$A$1:$T$35</definedName>
    <definedName name="_xlnm.Print_Titles" localSheetId="0">Sheet1!$3:$5</definedName>
  </definedNames>
  <calcPr calcId="124519"/>
</workbook>
</file>

<file path=xl/calcChain.xml><?xml version="1.0" encoding="utf-8"?>
<calcChain xmlns="http://schemas.openxmlformats.org/spreadsheetml/2006/main">
  <c r="S12" i="103"/>
  <c r="O12"/>
  <c r="T30"/>
  <c r="T29"/>
  <c r="T28"/>
  <c r="T26"/>
  <c r="I32"/>
  <c r="I31"/>
  <c r="I27"/>
  <c r="T27" s="1"/>
  <c r="I26"/>
  <c r="I22"/>
  <c r="T22" s="1"/>
  <c r="I21"/>
  <c r="T21" s="1"/>
  <c r="I20"/>
  <c r="I19"/>
  <c r="T19" s="1"/>
  <c r="I18"/>
  <c r="T18" s="1"/>
  <c r="I17"/>
  <c r="T17" s="1"/>
  <c r="I16"/>
  <c r="I15"/>
  <c r="I14"/>
  <c r="T14" s="1"/>
  <c r="I13"/>
  <c r="T13" s="1"/>
  <c r="I12"/>
  <c r="T12" s="1"/>
  <c r="I11"/>
  <c r="T11" s="1"/>
  <c r="I10"/>
  <c r="I9"/>
  <c r="I8"/>
  <c r="I7"/>
  <c r="T7" s="1"/>
  <c r="S28"/>
  <c r="R33"/>
  <c r="N32"/>
  <c r="M32"/>
  <c r="K32"/>
  <c r="J32"/>
  <c r="H32"/>
  <c r="N31"/>
  <c r="M31"/>
  <c r="K31"/>
  <c r="J31"/>
  <c r="H31"/>
  <c r="O30"/>
  <c r="L30"/>
  <c r="H30"/>
  <c r="S30" s="1"/>
  <c r="M29"/>
  <c r="O29" s="1"/>
  <c r="J29"/>
  <c r="L29" s="1"/>
  <c r="O28"/>
  <c r="L28"/>
  <c r="O27"/>
  <c r="L27"/>
  <c r="H27"/>
  <c r="S27" s="1"/>
  <c r="O26"/>
  <c r="J26"/>
  <c r="H26"/>
  <c r="R23"/>
  <c r="G23"/>
  <c r="I23" s="1"/>
  <c r="O22"/>
  <c r="L22"/>
  <c r="H22"/>
  <c r="S22" s="1"/>
  <c r="O21"/>
  <c r="J21"/>
  <c r="L21" s="1"/>
  <c r="H21"/>
  <c r="O20"/>
  <c r="K20"/>
  <c r="L20" s="1"/>
  <c r="H20"/>
  <c r="S20" s="1"/>
  <c r="O19"/>
  <c r="J19"/>
  <c r="L19" s="1"/>
  <c r="H19"/>
  <c r="M18"/>
  <c r="O18" s="1"/>
  <c r="J18"/>
  <c r="L18" s="1"/>
  <c r="H18"/>
  <c r="O17"/>
  <c r="L17"/>
  <c r="H17"/>
  <c r="S17" s="1"/>
  <c r="O16"/>
  <c r="L16"/>
  <c r="H16"/>
  <c r="N15"/>
  <c r="M15"/>
  <c r="K15"/>
  <c r="J15"/>
  <c r="H15"/>
  <c r="O14"/>
  <c r="J14"/>
  <c r="H14"/>
  <c r="O13"/>
  <c r="L13"/>
  <c r="H13"/>
  <c r="S13" s="1"/>
  <c r="L12"/>
  <c r="M11"/>
  <c r="O11" s="1"/>
  <c r="J11"/>
  <c r="L11" s="1"/>
  <c r="H11"/>
  <c r="M10"/>
  <c r="O10" s="1"/>
  <c r="K10"/>
  <c r="J10"/>
  <c r="M9"/>
  <c r="O9" s="1"/>
  <c r="J9"/>
  <c r="H9"/>
  <c r="N8"/>
  <c r="M8"/>
  <c r="K8"/>
  <c r="L8" s="1"/>
  <c r="H8"/>
  <c r="S8" s="1"/>
  <c r="N7"/>
  <c r="M7"/>
  <c r="L7"/>
  <c r="H7"/>
  <c r="S7" s="1"/>
  <c r="T10" l="1"/>
  <c r="T15"/>
  <c r="S9"/>
  <c r="T32"/>
  <c r="T31"/>
  <c r="T8"/>
  <c r="T20"/>
  <c r="S14"/>
  <c r="L14"/>
  <c r="P14" s="1"/>
  <c r="L31"/>
  <c r="O32"/>
  <c r="S21"/>
  <c r="S26"/>
  <c r="S11"/>
  <c r="S15"/>
  <c r="S18"/>
  <c r="S19"/>
  <c r="J33"/>
  <c r="P30"/>
  <c r="S32"/>
  <c r="Q13"/>
  <c r="L15"/>
  <c r="Q18"/>
  <c r="Q19"/>
  <c r="Q20"/>
  <c r="S31"/>
  <c r="O31"/>
  <c r="K33"/>
  <c r="K23"/>
  <c r="T23" s="1"/>
  <c r="L10"/>
  <c r="Q10" s="1"/>
  <c r="Q16"/>
  <c r="R34"/>
  <c r="M23"/>
  <c r="L9"/>
  <c r="P9" s="1"/>
  <c r="Q22"/>
  <c r="P27"/>
  <c r="S10"/>
  <c r="P17"/>
  <c r="P22"/>
  <c r="Q27"/>
  <c r="M33"/>
  <c r="H23"/>
  <c r="Q29"/>
  <c r="Q30"/>
  <c r="N23"/>
  <c r="O8"/>
  <c r="P8" s="1"/>
  <c r="Q11"/>
  <c r="O15"/>
  <c r="P16"/>
  <c r="Q17"/>
  <c r="P18"/>
  <c r="P19"/>
  <c r="P20"/>
  <c r="L26"/>
  <c r="Q26" s="1"/>
  <c r="Q28"/>
  <c r="N33"/>
  <c r="Q21"/>
  <c r="P21"/>
  <c r="P11"/>
  <c r="P29"/>
  <c r="J23"/>
  <c r="G29"/>
  <c r="O7"/>
  <c r="L32"/>
  <c r="P15" l="1"/>
  <c r="J34"/>
  <c r="Q32"/>
  <c r="Q33" s="1"/>
  <c r="P31"/>
  <c r="Q14"/>
  <c r="O33"/>
  <c r="S33"/>
  <c r="Q31"/>
  <c r="L23"/>
  <c r="P10"/>
  <c r="S23"/>
  <c r="S34" s="1"/>
  <c r="M34"/>
  <c r="K34"/>
  <c r="N34"/>
  <c r="Q9"/>
  <c r="P26"/>
  <c r="Q15"/>
  <c r="Q8"/>
  <c r="Q7"/>
  <c r="P7"/>
  <c r="O23"/>
  <c r="G33"/>
  <c r="H29"/>
  <c r="H33" s="1"/>
  <c r="H34" s="1"/>
  <c r="L33"/>
  <c r="P32"/>
  <c r="P33" l="1"/>
  <c r="G34"/>
  <c r="I34" s="1"/>
  <c r="T34" s="1"/>
  <c r="I33"/>
  <c r="T33" s="1"/>
  <c r="L34"/>
  <c r="Q23"/>
  <c r="Q34" s="1"/>
  <c r="O34"/>
  <c r="P23"/>
  <c r="P34" l="1"/>
</calcChain>
</file>

<file path=xl/sharedStrings.xml><?xml version="1.0" encoding="utf-8"?>
<sst xmlns="http://schemas.openxmlformats.org/spreadsheetml/2006/main" count="156" uniqueCount="125">
  <si>
    <t>Higher Education</t>
  </si>
  <si>
    <t>ARDD</t>
  </si>
  <si>
    <t>Sl.
No.</t>
  </si>
  <si>
    <t>Agriculture</t>
  </si>
  <si>
    <t>TSECL</t>
  </si>
  <si>
    <t>Year of sanction</t>
  </si>
  <si>
    <t>Transport</t>
  </si>
  <si>
    <t>Sanctioned cost</t>
  </si>
  <si>
    <t>NEC Share</t>
  </si>
  <si>
    <t>Balance NEC share to be released</t>
  </si>
  <si>
    <t>Horticulture</t>
  </si>
  <si>
    <t>YA &amp; Sports</t>
  </si>
  <si>
    <t xml:space="preserve"> 2014-15 (As per NEC=28.11.2014)</t>
  </si>
  <si>
    <t>Sector / Name of Project</t>
  </si>
  <si>
    <t>Secondary Education</t>
  </si>
  <si>
    <t>I&amp;C</t>
  </si>
  <si>
    <t>% of expenditure</t>
  </si>
  <si>
    <t>HH &amp; Seri</t>
  </si>
  <si>
    <t>2016-17 (28/2/2017)</t>
  </si>
  <si>
    <t>2017-18 (26/2/2018)</t>
  </si>
  <si>
    <t>Fund released (Central Share)</t>
  </si>
  <si>
    <t>Fund released (State Share)</t>
  </si>
  <si>
    <t>Utilisation Certificate submitted (Central Share)</t>
  </si>
  <si>
    <t>Utilisation Certificate submitted (State Share)</t>
  </si>
  <si>
    <t>Total UC Submitted (Central+State)</t>
  </si>
  <si>
    <t>Total Fund Released</t>
  </si>
  <si>
    <t>UC Pending</t>
  </si>
  <si>
    <t>UC Pending beyond 12 months</t>
  </si>
  <si>
    <t>04.09.2012</t>
  </si>
  <si>
    <t>PWD (R&amp;B)</t>
  </si>
  <si>
    <t>PWD (DWS)</t>
  </si>
  <si>
    <t>PWD (NH)</t>
  </si>
  <si>
    <t>2015-16 (As per NEC=13/5/2015)</t>
  </si>
  <si>
    <t>2011-12 (As per NEC=12/10/2011)</t>
  </si>
  <si>
    <t>2013-14 (As per NEC=8/11/2013)</t>
  </si>
  <si>
    <t>2015-16 (As per NEC=20/3/2015)</t>
  </si>
  <si>
    <t>09/03/2016</t>
  </si>
  <si>
    <t>2012-13 (As per NEC=23/11/2012)</t>
  </si>
  <si>
    <t>2013-14 (As per NEC=30/10/2013)</t>
  </si>
  <si>
    <t>19/11/2004</t>
  </si>
  <si>
    <t>2016-17 (As per NEC= 16/1/2017)</t>
  </si>
  <si>
    <t xml:space="preserve"> 2005-06 (As per NEC=12/09/2005 &amp; 19/01/ 2016)</t>
  </si>
  <si>
    <t>29/2/2016</t>
  </si>
  <si>
    <t>2016-17 (02/03/2017)</t>
  </si>
  <si>
    <t>(Rs. in lakh)</t>
  </si>
  <si>
    <t>March, 2019</t>
  </si>
  <si>
    <t>February, 2020</t>
  </si>
  <si>
    <t>March, 2018</t>
  </si>
  <si>
    <t>October, 2016</t>
  </si>
  <si>
    <t>December, 2018 (Revised)</t>
  </si>
  <si>
    <t>January, 2019</t>
  </si>
  <si>
    <t>October, 2013</t>
  </si>
  <si>
    <t>Schedule date of completion as per NEC</t>
  </si>
  <si>
    <t>Implementing Dept</t>
  </si>
  <si>
    <t>Executing Agency</t>
  </si>
  <si>
    <t>Housing Board</t>
  </si>
  <si>
    <t>2010-11 (As per NEC=29/7/2010) Revised date 23/01/2017</t>
  </si>
  <si>
    <t>2016-17 (As per NEC= 21/03/2017) &amp; 4.2.2019</t>
  </si>
  <si>
    <t>Status of NEC ongoing project - Tripura</t>
  </si>
  <si>
    <t>2017-18 (As per NEC= 16/08/2017). Revised date 13.2.2019.</t>
  </si>
  <si>
    <t>31.3.2020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</si>
  <si>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</si>
  <si>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</si>
  <si>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</si>
  <si>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</si>
  <si>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</si>
  <si>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</si>
  <si>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</si>
  <si>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</si>
  <si>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</si>
  <si>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C11</t>
  </si>
  <si>
    <t>C12</t>
  </si>
  <si>
    <t>C13</t>
  </si>
  <si>
    <t>C14</t>
  </si>
  <si>
    <t>C15</t>
  </si>
  <si>
    <t>C16</t>
  </si>
  <si>
    <t>C17</t>
  </si>
  <si>
    <t>C18</t>
  </si>
  <si>
    <t>5/11/2012 Revised date 31/1/2020</t>
  </si>
  <si>
    <t>30th November, 2014</t>
  </si>
  <si>
    <t>30th November, 2017</t>
  </si>
  <si>
    <t>31st March, 2016</t>
  </si>
  <si>
    <t>29th February, 2016</t>
  </si>
  <si>
    <t>31st March, 2019</t>
  </si>
  <si>
    <t>28th Februar, 2018</t>
  </si>
  <si>
    <t>March, 2022</t>
  </si>
  <si>
    <t>December,  2018</t>
  </si>
  <si>
    <t>2012-13 (As per NEC=26/3/2013) (Revised sanction date 15.9.2020)</t>
  </si>
  <si>
    <t>March, 2019 (Revised date 31.3.2021)</t>
  </si>
  <si>
    <t>March, 2021</t>
  </si>
  <si>
    <t>23.9.2020</t>
  </si>
  <si>
    <t>15.10.2020</t>
  </si>
  <si>
    <r>
      <t xml:space="preserve">Establishment of State of  the Art Sericulture Training Institute, Tripura </t>
    </r>
    <r>
      <rPr>
        <b/>
        <sz val="11"/>
        <rFont val="Cambria"/>
        <family val="1"/>
        <scheme val="major"/>
      </rPr>
      <t>(under Major Head-3601)</t>
    </r>
  </si>
  <si>
    <r>
      <t xml:space="preserve">Establishment of Rural Collection Centre for Fruits and Vegetables </t>
    </r>
    <r>
      <rPr>
        <b/>
        <sz val="11"/>
        <rFont val="Cambria"/>
        <family val="1"/>
        <scheme val="major"/>
      </rPr>
      <t>(under Major Head-3601)</t>
    </r>
  </si>
  <si>
    <r>
      <t xml:space="preserve">Setting up of 10 Nos. New Agri Development Research cum Training Centre with IT facilities in Jampuijala, Karbook, Ompi, Killa, Kakraban, Amarpur, Satchand, Jirania, Dukli and Kadamtala, Tripura </t>
    </r>
    <r>
      <rPr>
        <b/>
        <sz val="11"/>
        <color theme="1"/>
        <rFont val="Cambria"/>
        <family val="1"/>
      </rPr>
      <t>(under Major Head-3601)</t>
    </r>
  </si>
  <si>
    <r>
      <t xml:space="preserve">Livelihood generation and value addition chain in Piggery Sector based on District Composite Livestock Farm, Nalicherra under Dhalai District, Tripura </t>
    </r>
    <r>
      <rPr>
        <b/>
        <sz val="11"/>
        <color theme="1"/>
        <rFont val="Cambria"/>
        <family val="1"/>
      </rPr>
      <t>(under Major Head-3601)</t>
    </r>
  </si>
  <si>
    <r>
      <t xml:space="preserve">Construction of 132kV S/C Transmission Line from 132kV Ambassa substation to Gandacherra Substation (47 Ckm)”, Tripura </t>
    </r>
    <r>
      <rPr>
        <b/>
        <sz val="11"/>
        <rFont val="Cambria"/>
        <family val="1"/>
        <scheme val="major"/>
      </rPr>
      <t xml:space="preserve">(under Major Head-3601) </t>
    </r>
  </si>
  <si>
    <r>
      <t xml:space="preserve">Integrated Development of Incense Cluster at Kumarghat in Tripura </t>
    </r>
    <r>
      <rPr>
        <b/>
        <sz val="11"/>
        <rFont val="Cambria"/>
        <family val="1"/>
        <scheme val="major"/>
      </rPr>
      <t>(under Major Head-3601)</t>
    </r>
  </si>
  <si>
    <r>
      <t xml:space="preserve">Revival of Bamboo Sticks Cluster at Kumarghat, Tripura </t>
    </r>
    <r>
      <rPr>
        <b/>
        <sz val="11"/>
        <rFont val="Cambria"/>
        <family val="1"/>
        <scheme val="major"/>
      </rPr>
      <t>(under Major Head-3601)</t>
    </r>
  </si>
  <si>
    <r>
      <t>Construction of 50 Type III Residential Quarters for Hostel Superintendent in ST &amp; SC Hostels.</t>
    </r>
    <r>
      <rPr>
        <b/>
        <sz val="11"/>
        <rFont val="Cambria"/>
        <family val="1"/>
        <scheme val="major"/>
      </rPr>
      <t xml:space="preserve"> </t>
    </r>
    <r>
      <rPr>
        <i/>
        <sz val="11"/>
        <rFont val="Cambria"/>
        <family val="1"/>
        <scheme val="major"/>
      </rPr>
      <t xml:space="preserve">(Original cost: Rs. 821.84 lakh, Revised Cost: Rs. 764.88 lakh) </t>
    </r>
    <r>
      <rPr>
        <b/>
        <i/>
        <sz val="11"/>
        <rFont val="Cambria"/>
        <family val="1"/>
        <scheme val="major"/>
      </rPr>
      <t>(under Major Head-3601)</t>
    </r>
  </si>
  <si>
    <r>
      <t xml:space="preserve">Construction of 100 seated capacity of Men's Hostel at Regional College of Physical Education at Panisagar, North Tripura </t>
    </r>
    <r>
      <rPr>
        <b/>
        <sz val="11"/>
        <rFont val="Cambria"/>
        <family val="1"/>
        <scheme val="major"/>
      </rPr>
      <t>(under Major Head-3601)</t>
    </r>
  </si>
  <si>
    <r>
      <t xml:space="preserve">Construction of 200  Bedded (G+2), Yuba Awas (Youth Hostel) in Ambassa, Dhalai District </t>
    </r>
    <r>
      <rPr>
        <b/>
        <sz val="11"/>
        <rFont val="Cambria"/>
        <family val="1"/>
        <scheme val="major"/>
      </rPr>
      <t>(under Major Head-3601)</t>
    </r>
  </si>
  <si>
    <r>
      <t>Water Arrangement in Rural Areas of Khowai District, West District, Sepahijala District of Tripura/ Sinking &amp; Development of DTW schemes including construction of pump house, installation of pump set laying distribution pipeline etc.</t>
    </r>
    <r>
      <rPr>
        <b/>
        <sz val="11"/>
        <rFont val="Cambria"/>
        <family val="1"/>
        <scheme val="major"/>
      </rPr>
      <t xml:space="preserve"> (under Major Head-3601)</t>
    </r>
  </si>
  <si>
    <r>
      <t xml:space="preserve">Inter-State Truck Terminus at Madhavbari, Jirania </t>
    </r>
    <r>
      <rPr>
        <b/>
        <sz val="11"/>
        <rFont val="Cambria"/>
        <family val="1"/>
        <scheme val="major"/>
      </rPr>
      <t>(under Major Head-3601)</t>
    </r>
  </si>
  <si>
    <r>
      <t xml:space="preserve">Improvement/Upgradation of Bishalgarh-Boxanagar-Sonamura-Barpathari-Belonia Road </t>
    </r>
    <r>
      <rPr>
        <b/>
        <sz val="11"/>
        <rFont val="Cambria"/>
        <family val="1"/>
        <scheme val="major"/>
      </rPr>
      <t xml:space="preserve">(under Major Head-3601)     </t>
    </r>
    <r>
      <rPr>
        <sz val="11"/>
        <rFont val="Cambria"/>
        <family val="1"/>
        <scheme val="major"/>
      </rPr>
      <t xml:space="preserve">            </t>
    </r>
  </si>
  <si>
    <t>A</t>
  </si>
  <si>
    <t>Sub Total: (A. MH-3601)</t>
  </si>
  <si>
    <t>B</t>
  </si>
  <si>
    <t>Other Projects (Not indicated in the list by NEC)</t>
  </si>
  <si>
    <t>B. Sub Total: (Other Projects)</t>
  </si>
  <si>
    <t>Total: (A + B)</t>
  </si>
  <si>
    <t>As per list of projects communicated by the Planning Section of NEC vide email dated 9th December, 2020 (Major Head-3601)</t>
  </si>
  <si>
    <t>State Share</t>
  </si>
  <si>
    <t>C10</t>
  </si>
  <si>
    <t>Balance State  share to be released</t>
  </si>
  <si>
    <r>
      <t xml:space="preserve">Distribution of Crossbreed Pregnant Heifer to the farmers  </t>
    </r>
    <r>
      <rPr>
        <b/>
        <sz val="11"/>
        <rFont val="Cambria"/>
        <family val="1"/>
        <scheme val="major"/>
      </rPr>
      <t>(under Major Head-3601)</t>
    </r>
  </si>
  <si>
    <r>
      <t xml:space="preserve">Modernization and Strengthening of Regional Exotic Pig Breeding Farm at Nalkata </t>
    </r>
    <r>
      <rPr>
        <b/>
        <sz val="11"/>
        <rFont val="Cambria"/>
        <family val="1"/>
        <scheme val="major"/>
      </rPr>
      <t>(under Major Head-3601)</t>
    </r>
  </si>
  <si>
    <r>
      <t xml:space="preserve">Strengthening of Exotic Pig breeding farm Birchandra Manu, Tripura </t>
    </r>
    <r>
      <rPr>
        <b/>
        <sz val="11"/>
        <rFont val="Cambria"/>
        <family val="1"/>
        <scheme val="major"/>
      </rPr>
      <t>(under Major Head-3601)</t>
    </r>
  </si>
  <si>
    <r>
      <t xml:space="preserve">Augmentation of production potential of hybrid true potato seed at Horticulture Research Centre, Nagicherra Tripura </t>
    </r>
    <r>
      <rPr>
        <b/>
        <sz val="11"/>
        <rFont val="Cambria"/>
        <family val="1"/>
        <scheme val="major"/>
      </rPr>
      <t>(under Major Head-3601)</t>
    </r>
  </si>
  <si>
    <r>
      <t xml:space="preserve">Strengthening of Veterinary Health care services through development of infrastructure </t>
    </r>
    <r>
      <rPr>
        <b/>
        <sz val="11"/>
        <rFont val="Cambria"/>
        <family val="1"/>
        <scheme val="major"/>
      </rPr>
      <t xml:space="preserve"> (under Major Head-3601)</t>
    </r>
  </si>
  <si>
    <r>
      <t xml:space="preserve">Livelihood Generation for returned Migrant Workers due to pandemic outbreak COVID-19 to the state of Tripura </t>
    </r>
    <r>
      <rPr>
        <b/>
        <sz val="11"/>
        <rFont val="Cambria"/>
        <family val="1"/>
        <scheme val="major"/>
      </rPr>
      <t xml:space="preserve">(under Major Head-2552).  </t>
    </r>
  </si>
  <si>
    <r>
      <t xml:space="preserve">Financial Support to Students of NER for Higher Professional Courses </t>
    </r>
    <r>
      <rPr>
        <b/>
        <sz val="11"/>
        <rFont val="Cambria"/>
        <family val="1"/>
        <scheme val="major"/>
      </rPr>
      <t>(under Major Head-3601)</t>
    </r>
  </si>
  <si>
    <r>
      <t xml:space="preserve">Establishment of India on Track (IOT)- Arsenal Soccer Schools, Youth Development in Tripura through the set up of comprehensive football training and development programme </t>
    </r>
    <r>
      <rPr>
        <b/>
        <sz val="11"/>
        <rFont val="Cambria"/>
        <family val="1"/>
        <scheme val="major"/>
      </rPr>
      <t>(under Major Head-3601)</t>
    </r>
  </si>
  <si>
    <r>
      <t xml:space="preserve">Construction of 2X10 MVA 132/33 KV and 2X10 MVA, 33/11 KV Sub-station including LILO at Bisramganj, Sepahijala District, Tripura </t>
    </r>
    <r>
      <rPr>
        <b/>
        <sz val="11"/>
        <rFont val="Cambria"/>
        <family val="1"/>
        <scheme val="major"/>
      </rPr>
      <t>(under Major Head-3601)</t>
    </r>
  </si>
  <si>
    <r>
      <t>Augmentation by capacity addition of 1X20/25 MVA 132/33 Kv transformer and 2X12.5 MVA, 132/11 Kv transformer with associated equipments at Mission Tilla 132 Kv Sub-station, Dharmanagar, North Tripura</t>
    </r>
    <r>
      <rPr>
        <b/>
        <sz val="11"/>
        <rFont val="Cambria"/>
        <family val="1"/>
        <scheme val="major"/>
      </rPr>
      <t xml:space="preserve"> (under Major Head-3601)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</si>
</sst>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libri"/>
      <family val="2"/>
      <scheme val="minor"/>
    </font>
    <font>
      <b/>
      <u/>
      <sz val="12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Arial Narrow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Arial Narrow"/>
      <family val="2"/>
    </font>
    <font>
      <b/>
      <sz val="12"/>
      <name val="Cambria"/>
      <family val="1"/>
      <scheme val="major"/>
    </font>
    <font>
      <sz val="11"/>
      <color theme="1"/>
      <name val="Bookman Old Style"/>
      <family val="1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i/>
      <sz val="11"/>
      <name val="Cambria"/>
      <family val="1"/>
      <scheme val="major"/>
    </font>
    <font>
      <b/>
      <u/>
      <sz val="16"/>
      <color theme="1"/>
      <name val="Bookman Old Style"/>
      <family val="1"/>
    </font>
    <font>
      <sz val="10"/>
      <name val="Arial"/>
      <family val="2"/>
    </font>
    <font>
      <b/>
      <sz val="16"/>
      <name val="Cambria"/>
      <family val="1"/>
      <scheme val="major"/>
    </font>
    <font>
      <sz val="11"/>
      <name val="Cambria"/>
      <family val="1"/>
    </font>
    <font>
      <b/>
      <sz val="11"/>
      <color theme="1"/>
      <name val="Cambria"/>
      <family val="1"/>
    </font>
    <font>
      <b/>
      <i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u/>
      <sz val="16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9" fillId="0" borderId="0"/>
    <xf numFmtId="0" fontId="19" fillId="0" borderId="0"/>
  </cellStyleXfs>
  <cellXfs count="126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9" fontId="8" fillId="0" borderId="1" xfId="1" applyFont="1" applyFill="1" applyBorder="1" applyAlignment="1">
      <alignment vertical="top" wrapText="1"/>
    </xf>
    <xf numFmtId="0" fontId="11" fillId="0" borderId="0" xfId="0" applyFont="1" applyFill="1"/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right" vertical="top" wrapText="1"/>
    </xf>
    <xf numFmtId="2" fontId="13" fillId="0" borderId="1" xfId="0" applyNumberFormat="1" applyFont="1" applyFill="1" applyBorder="1" applyAlignment="1">
      <alignment vertical="top" wrapText="1"/>
    </xf>
    <xf numFmtId="9" fontId="13" fillId="0" borderId="1" xfId="1" applyFont="1" applyFill="1" applyBorder="1" applyAlignment="1">
      <alignment vertical="top" wrapText="1"/>
    </xf>
    <xf numFmtId="16" fontId="16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right" vertical="top" wrapText="1"/>
    </xf>
    <xf numFmtId="2" fontId="13" fillId="0" borderId="1" xfId="0" applyNumberFormat="1" applyFont="1" applyFill="1" applyBorder="1" applyAlignment="1">
      <alignment horizontal="right" vertical="top"/>
    </xf>
    <xf numFmtId="14" fontId="13" fillId="0" borderId="1" xfId="0" quotePrefix="1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0" fontId="13" fillId="0" borderId="1" xfId="0" quotePrefix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16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right" vertical="top" wrapText="1"/>
    </xf>
    <xf numFmtId="2" fontId="21" fillId="0" borderId="1" xfId="0" applyNumberFormat="1" applyFont="1" applyFill="1" applyBorder="1" applyAlignment="1">
      <alignment vertical="top" wrapText="1"/>
    </xf>
    <xf numFmtId="9" fontId="21" fillId="0" borderId="1" xfId="1" applyFont="1" applyFill="1" applyBorder="1" applyAlignment="1">
      <alignment vertical="top" wrapText="1"/>
    </xf>
    <xf numFmtId="0" fontId="21" fillId="0" borderId="0" xfId="0" applyFont="1" applyFill="1" applyAlignment="1">
      <alignment vertical="top"/>
    </xf>
    <xf numFmtId="14" fontId="21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2" fontId="8" fillId="0" borderId="1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vertical="top"/>
    </xf>
    <xf numFmtId="9" fontId="8" fillId="0" borderId="1" xfId="1" applyFont="1" applyFill="1" applyBorder="1" applyAlignment="1">
      <alignment vertical="top"/>
    </xf>
    <xf numFmtId="0" fontId="8" fillId="0" borderId="1" xfId="0" quotePrefix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18" fillId="2" borderId="0" xfId="0" applyFont="1" applyFill="1"/>
    <xf numFmtId="0" fontId="2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2" fontId="1" fillId="0" borderId="0" xfId="0" applyNumberFormat="1" applyFont="1" applyFill="1" applyBorder="1" applyAlignment="1">
      <alignment vertical="top"/>
    </xf>
    <xf numFmtId="9" fontId="13" fillId="0" borderId="0" xfId="1" applyFont="1" applyFill="1" applyBorder="1" applyAlignment="1">
      <alignment vertical="top" wrapText="1"/>
    </xf>
    <xf numFmtId="0" fontId="24" fillId="0" borderId="3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/>
    </xf>
    <xf numFmtId="2" fontId="13" fillId="3" borderId="1" xfId="0" applyNumberFormat="1" applyFont="1" applyFill="1" applyBorder="1" applyAlignment="1">
      <alignment horizontal="right" vertical="top"/>
    </xf>
    <xf numFmtId="2" fontId="13" fillId="3" borderId="1" xfId="0" applyNumberFormat="1" applyFont="1" applyFill="1" applyBorder="1" applyAlignment="1">
      <alignment vertical="top" wrapText="1"/>
    </xf>
    <xf numFmtId="2" fontId="21" fillId="3" borderId="1" xfId="0" applyNumberFormat="1" applyFont="1" applyFill="1" applyBorder="1" applyAlignment="1">
      <alignment vertical="top" wrapText="1"/>
    </xf>
    <xf numFmtId="2" fontId="21" fillId="3" borderId="1" xfId="0" applyNumberFormat="1" applyFont="1" applyFill="1" applyBorder="1" applyAlignment="1">
      <alignment horizontal="right" vertical="top"/>
    </xf>
    <xf numFmtId="2" fontId="13" fillId="3" borderId="1" xfId="0" applyNumberFormat="1" applyFont="1" applyFill="1" applyBorder="1" applyAlignment="1">
      <alignment horizontal="right" vertical="top" wrapText="1"/>
    </xf>
    <xf numFmtId="2" fontId="7" fillId="3" borderId="1" xfId="0" applyNumberFormat="1" applyFont="1" applyFill="1" applyBorder="1" applyAlignment="1">
      <alignment horizontal="right" vertical="top"/>
    </xf>
    <xf numFmtId="2" fontId="8" fillId="3" borderId="1" xfId="0" applyNumberFormat="1" applyFont="1" applyFill="1" applyBorder="1" applyAlignment="1">
      <alignment horizontal="right" vertical="top"/>
    </xf>
    <xf numFmtId="2" fontId="1" fillId="3" borderId="0" xfId="0" applyNumberFormat="1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 wrapText="1"/>
    </xf>
    <xf numFmtId="0" fontId="1" fillId="4" borderId="3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13" fillId="4" borderId="1" xfId="0" applyNumberFormat="1" applyFont="1" applyFill="1" applyBorder="1" applyAlignment="1">
      <alignment horizontal="right" vertical="top"/>
    </xf>
    <xf numFmtId="2" fontId="21" fillId="4" borderId="1" xfId="0" applyNumberFormat="1" applyFont="1" applyFill="1" applyBorder="1" applyAlignment="1">
      <alignment vertical="top" wrapText="1"/>
    </xf>
    <xf numFmtId="2" fontId="13" fillId="4" borderId="1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horizontal="right" vertical="top"/>
    </xf>
    <xf numFmtId="2" fontId="8" fillId="4" borderId="1" xfId="0" applyNumberFormat="1" applyFont="1" applyFill="1" applyBorder="1" applyAlignment="1">
      <alignment horizontal="right" vertical="top"/>
    </xf>
    <xf numFmtId="2" fontId="1" fillId="4" borderId="0" xfId="0" applyNumberFormat="1" applyFont="1" applyFill="1" applyBorder="1" applyAlignment="1">
      <alignment vertical="top"/>
    </xf>
    <xf numFmtId="0" fontId="1" fillId="3" borderId="3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2" fontId="21" fillId="0" borderId="1" xfId="0" applyNumberFormat="1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vertical="top" wrapText="1"/>
    </xf>
    <xf numFmtId="0" fontId="5" fillId="3" borderId="0" xfId="0" applyFont="1" applyFill="1" applyAlignment="1">
      <alignment vertical="top"/>
    </xf>
    <xf numFmtId="0" fontId="1" fillId="3" borderId="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/>
    </xf>
    <xf numFmtId="2" fontId="13" fillId="3" borderId="6" xfId="0" applyNumberFormat="1" applyFont="1" applyFill="1" applyBorder="1" applyAlignment="1">
      <alignment vertical="top" wrapText="1"/>
    </xf>
    <xf numFmtId="2" fontId="21" fillId="3" borderId="6" xfId="0" applyNumberFormat="1" applyFont="1" applyFill="1" applyBorder="1" applyAlignment="1">
      <alignment vertical="top" wrapText="1"/>
    </xf>
    <xf numFmtId="2" fontId="7" fillId="3" borderId="6" xfId="0" applyNumberFormat="1" applyFont="1" applyFill="1" applyBorder="1" applyAlignment="1">
      <alignment horizontal="right" vertical="top"/>
    </xf>
    <xf numFmtId="2" fontId="8" fillId="3" borderId="6" xfId="0" applyNumberFormat="1" applyFont="1" applyFill="1" applyBorder="1" applyAlignment="1">
      <alignment vertical="top"/>
    </xf>
    <xf numFmtId="2" fontId="13" fillId="3" borderId="7" xfId="0" applyNumberFormat="1" applyFont="1" applyFill="1" applyBorder="1" applyAlignment="1">
      <alignment horizontal="right" vertical="top"/>
    </xf>
    <xf numFmtId="2" fontId="13" fillId="3" borderId="6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2" fontId="8" fillId="0" borderId="1" xfId="0" applyNumberFormat="1" applyFont="1" applyFill="1" applyBorder="1" applyAlignment="1">
      <alignment vertical="top" wrapText="1"/>
    </xf>
    <xf numFmtId="2" fontId="7" fillId="3" borderId="1" xfId="0" applyNumberFormat="1" applyFont="1" applyFill="1" applyBorder="1" applyAlignment="1">
      <alignment vertical="top"/>
    </xf>
    <xf numFmtId="2" fontId="7" fillId="4" borderId="1" xfId="0" applyNumberFormat="1" applyFont="1" applyFill="1" applyBorder="1" applyAlignment="1">
      <alignment vertical="top"/>
    </xf>
    <xf numFmtId="2" fontId="7" fillId="0" borderId="1" xfId="0" applyNumberFormat="1" applyFont="1" applyFill="1" applyBorder="1" applyAlignment="1">
      <alignment vertical="top"/>
    </xf>
    <xf numFmtId="9" fontId="7" fillId="0" borderId="1" xfId="1" applyFont="1" applyFill="1" applyBorder="1" applyAlignment="1">
      <alignment vertical="top" wrapText="1"/>
    </xf>
    <xf numFmtId="2" fontId="7" fillId="3" borderId="6" xfId="0" applyNumberFormat="1" applyFont="1" applyFill="1" applyBorder="1" applyAlignment="1">
      <alignment vertical="top"/>
    </xf>
    <xf numFmtId="2" fontId="7" fillId="4" borderId="1" xfId="0" applyNumberFormat="1" applyFont="1" applyFill="1" applyBorder="1" applyAlignment="1">
      <alignment vertical="top" wrapText="1"/>
    </xf>
  </cellXfs>
  <cellStyles count="4">
    <cellStyle name="Normal" xfId="0" builtinId="0"/>
    <cellStyle name="Normal 2" xfId="2"/>
    <cellStyle name="Normal 4" xfId="3"/>
    <cellStyle name="Percent" xfId="1" builtinId="5"/>
  </cellStyles>
  <dxfs count="0"/>
  <tableStyles count="0" defaultTableStyle="TableStyleMedium9" defaultPivotStyle="PivotStyleLight16"/>
  <colors>
    <mruColors>
      <color rgb="FF33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" sqref="O1"/>
    </sheetView>
  </sheetViews>
  <sheetFormatPr defaultRowHeight="45" customHeight="1"/>
  <cols>
    <col min="1" max="1" width="3.5703125" style="5" customWidth="1"/>
    <col min="2" max="2" width="16.85546875" style="46" customWidth="1"/>
    <col min="3" max="3" width="8.140625" style="2" customWidth="1"/>
    <col min="4" max="4" width="8.140625" style="2" hidden="1" customWidth="1"/>
    <col min="5" max="5" width="9.5703125" style="5" customWidth="1"/>
    <col min="6" max="6" width="8.5703125" style="5" customWidth="1"/>
    <col min="7" max="7" width="9.5703125" style="2" customWidth="1"/>
    <col min="8" max="8" width="9.85546875" style="2" bestFit="1" customWidth="1"/>
    <col min="9" max="9" width="9.85546875" style="2" customWidth="1"/>
    <col min="10" max="10" width="10.42578125" style="64" bestFit="1" customWidth="1"/>
    <col min="11" max="11" width="8.140625" style="78" customWidth="1"/>
    <col min="12" max="12" width="9.28515625" style="2" customWidth="1"/>
    <col min="13" max="13" width="9.42578125" style="64" customWidth="1"/>
    <col min="14" max="14" width="8.5703125" style="78" customWidth="1"/>
    <col min="15" max="15" width="10.140625" style="2" customWidth="1"/>
    <col min="16" max="16" width="6.5703125" style="2" customWidth="1"/>
    <col min="17" max="17" width="8.7109375" style="2" customWidth="1"/>
    <col min="18" max="18" width="8.28515625" style="2" hidden="1" customWidth="1"/>
    <col min="19" max="19" width="8.28515625" style="64" customWidth="1"/>
    <col min="20" max="20" width="9.140625" style="78"/>
    <col min="21" max="16384" width="9.140625" style="2"/>
  </cols>
  <sheetData>
    <row r="1" spans="1:20" ht="20.25">
      <c r="C1" s="11"/>
      <c r="O1" s="118"/>
      <c r="S1" s="102"/>
    </row>
    <row r="2" spans="1:20" ht="20.25">
      <c r="B2" s="47" t="s">
        <v>58</v>
      </c>
      <c r="C2" s="37"/>
      <c r="D2" s="37"/>
      <c r="E2" s="37"/>
      <c r="F2" s="37"/>
      <c r="G2" s="37"/>
      <c r="H2" s="37"/>
      <c r="I2" s="37"/>
      <c r="J2" s="65"/>
      <c r="K2" s="79"/>
      <c r="L2" s="37"/>
      <c r="M2" s="65"/>
      <c r="N2" s="79"/>
      <c r="O2" s="37"/>
      <c r="P2" s="37"/>
      <c r="Q2" s="37"/>
      <c r="R2" s="37"/>
      <c r="S2" s="65"/>
    </row>
    <row r="3" spans="1:20" ht="18">
      <c r="A3" s="3"/>
      <c r="B3" s="48"/>
      <c r="C3" s="1"/>
      <c r="D3" s="1"/>
      <c r="E3" s="3"/>
      <c r="F3" s="3"/>
      <c r="G3" s="1"/>
      <c r="H3" s="1"/>
      <c r="I3" s="1"/>
      <c r="J3" s="66"/>
      <c r="K3" s="80"/>
      <c r="L3" s="7"/>
      <c r="M3" s="91"/>
      <c r="N3" s="80"/>
      <c r="O3" s="63" t="s">
        <v>44</v>
      </c>
      <c r="P3" s="7"/>
      <c r="S3" s="103"/>
    </row>
    <row r="4" spans="1:20" s="5" customFormat="1" ht="63.75">
      <c r="A4" s="8" t="s">
        <v>2</v>
      </c>
      <c r="B4" s="49" t="s">
        <v>13</v>
      </c>
      <c r="C4" s="8" t="s">
        <v>53</v>
      </c>
      <c r="D4" s="8" t="s">
        <v>54</v>
      </c>
      <c r="E4" s="8" t="s">
        <v>5</v>
      </c>
      <c r="F4" s="8" t="s">
        <v>52</v>
      </c>
      <c r="G4" s="8" t="s">
        <v>7</v>
      </c>
      <c r="H4" s="8" t="s">
        <v>8</v>
      </c>
      <c r="I4" s="8" t="s">
        <v>112</v>
      </c>
      <c r="J4" s="67" t="s">
        <v>20</v>
      </c>
      <c r="K4" s="81" t="s">
        <v>21</v>
      </c>
      <c r="L4" s="92" t="s">
        <v>25</v>
      </c>
      <c r="M4" s="67" t="s">
        <v>22</v>
      </c>
      <c r="N4" s="81" t="s">
        <v>23</v>
      </c>
      <c r="O4" s="95" t="s">
        <v>24</v>
      </c>
      <c r="P4" s="9" t="s">
        <v>16</v>
      </c>
      <c r="Q4" s="8" t="s">
        <v>26</v>
      </c>
      <c r="R4" s="9" t="s">
        <v>27</v>
      </c>
      <c r="S4" s="104" t="s">
        <v>9</v>
      </c>
      <c r="T4" s="113" t="s">
        <v>114</v>
      </c>
    </row>
    <row r="5" spans="1:20" s="12" customFormat="1" ht="16.5">
      <c r="A5" s="14" t="s">
        <v>61</v>
      </c>
      <c r="B5" s="50" t="s">
        <v>62</v>
      </c>
      <c r="C5" s="14" t="s">
        <v>63</v>
      </c>
      <c r="D5" s="14"/>
      <c r="E5" s="14" t="s">
        <v>64</v>
      </c>
      <c r="F5" s="14" t="s">
        <v>65</v>
      </c>
      <c r="G5" s="14" t="s">
        <v>66</v>
      </c>
      <c r="H5" s="14" t="s">
        <v>67</v>
      </c>
      <c r="I5" s="14" t="s">
        <v>68</v>
      </c>
      <c r="J5" s="68" t="s">
        <v>69</v>
      </c>
      <c r="K5" s="82" t="s">
        <v>113</v>
      </c>
      <c r="L5" s="93" t="s">
        <v>70</v>
      </c>
      <c r="M5" s="68" t="s">
        <v>71</v>
      </c>
      <c r="N5" s="82" t="s">
        <v>72</v>
      </c>
      <c r="O5" s="96" t="s">
        <v>73</v>
      </c>
      <c r="P5" s="14" t="s">
        <v>74</v>
      </c>
      <c r="Q5" s="14" t="s">
        <v>75</v>
      </c>
      <c r="R5" s="15"/>
      <c r="S5" s="105" t="s">
        <v>76</v>
      </c>
      <c r="T5" s="114" t="s">
        <v>77</v>
      </c>
    </row>
    <row r="6" spans="1:20" s="39" customFormat="1" ht="16.5">
      <c r="A6" s="99" t="s">
        <v>105</v>
      </c>
      <c r="B6" s="100" t="s">
        <v>111</v>
      </c>
      <c r="C6" s="38"/>
      <c r="D6" s="38"/>
      <c r="E6" s="38"/>
      <c r="F6" s="38"/>
      <c r="G6" s="38"/>
      <c r="H6" s="38"/>
      <c r="I6" s="38"/>
      <c r="J6" s="69"/>
      <c r="K6" s="83"/>
      <c r="L6" s="94"/>
      <c r="M6" s="69"/>
      <c r="N6" s="83"/>
      <c r="O6" s="97"/>
      <c r="P6" s="38"/>
      <c r="Q6" s="38"/>
      <c r="R6" s="38"/>
      <c r="S6" s="106"/>
      <c r="T6" s="115"/>
    </row>
    <row r="7" spans="1:20" s="13" customFormat="1" ht="85.5">
      <c r="A7" s="16">
        <v>1</v>
      </c>
      <c r="B7" s="51" t="s">
        <v>115</v>
      </c>
      <c r="C7" s="16" t="s">
        <v>1</v>
      </c>
      <c r="D7" s="16" t="s">
        <v>1</v>
      </c>
      <c r="E7" s="16" t="s">
        <v>34</v>
      </c>
      <c r="F7" s="16" t="s">
        <v>80</v>
      </c>
      <c r="G7" s="22">
        <v>360</v>
      </c>
      <c r="H7" s="19">
        <f>G7*90/100</f>
        <v>324</v>
      </c>
      <c r="I7" s="19">
        <f t="shared" ref="I7:I23" si="0">G7*10/100</f>
        <v>36</v>
      </c>
      <c r="J7" s="70">
        <v>259.2</v>
      </c>
      <c r="K7" s="84">
        <v>28.8</v>
      </c>
      <c r="L7" s="19">
        <f>SUM(J7:K7)</f>
        <v>288</v>
      </c>
      <c r="M7" s="71">
        <f>64.8+40.5</f>
        <v>105.3</v>
      </c>
      <c r="N7" s="84">
        <f>7.2+4.5</f>
        <v>11.7</v>
      </c>
      <c r="O7" s="19">
        <f>SUM(M7:N7)</f>
        <v>117</v>
      </c>
      <c r="P7" s="20">
        <f t="shared" ref="P7" si="1">O7/L7</f>
        <v>0.40625</v>
      </c>
      <c r="Q7" s="19">
        <f>L7-O7</f>
        <v>171</v>
      </c>
      <c r="R7" s="19">
        <v>194.4</v>
      </c>
      <c r="S7" s="107">
        <f t="shared" ref="S7:T9" si="2">H7-J7</f>
        <v>64.800000000000011</v>
      </c>
      <c r="T7" s="84">
        <f t="shared" si="2"/>
        <v>7.1999999999999993</v>
      </c>
    </row>
    <row r="8" spans="1:20" s="13" customFormat="1" ht="99.75">
      <c r="A8" s="16">
        <v>2</v>
      </c>
      <c r="B8" s="51" t="s">
        <v>92</v>
      </c>
      <c r="C8" s="16" t="s">
        <v>17</v>
      </c>
      <c r="D8" s="17" t="s">
        <v>17</v>
      </c>
      <c r="E8" s="16" t="s">
        <v>37</v>
      </c>
      <c r="F8" s="16" t="s">
        <v>79</v>
      </c>
      <c r="G8" s="23">
        <v>434.06</v>
      </c>
      <c r="H8" s="19">
        <f>G8*90/100</f>
        <v>390.654</v>
      </c>
      <c r="I8" s="19">
        <f t="shared" si="0"/>
        <v>43.406000000000006</v>
      </c>
      <c r="J8" s="70">
        <v>390.65</v>
      </c>
      <c r="K8" s="85">
        <f>29+14.41</f>
        <v>43.41</v>
      </c>
      <c r="L8" s="19">
        <f>SUM(J8:K8)</f>
        <v>434.05999999999995</v>
      </c>
      <c r="M8" s="70">
        <f>290+98.87</f>
        <v>388.87</v>
      </c>
      <c r="N8" s="85">
        <f>29+8.81</f>
        <v>37.81</v>
      </c>
      <c r="O8" s="23">
        <f>SUM(M8:N8)</f>
        <v>426.68</v>
      </c>
      <c r="P8" s="20">
        <f>O8/L8</f>
        <v>0.98299774224761571</v>
      </c>
      <c r="Q8" s="19">
        <f>L8-O8</f>
        <v>7.3799999999999386</v>
      </c>
      <c r="R8" s="19">
        <v>0</v>
      </c>
      <c r="S8" s="107">
        <f t="shared" si="2"/>
        <v>4.0000000000190994E-3</v>
      </c>
      <c r="T8" s="84">
        <f t="shared" si="2"/>
        <v>-3.9999999999906777E-3</v>
      </c>
    </row>
    <row r="9" spans="1:20" s="13" customFormat="1" ht="114">
      <c r="A9" s="16">
        <v>3</v>
      </c>
      <c r="B9" s="51" t="s">
        <v>116</v>
      </c>
      <c r="C9" s="16" t="s">
        <v>1</v>
      </c>
      <c r="D9" s="16" t="s">
        <v>1</v>
      </c>
      <c r="E9" s="16" t="s">
        <v>35</v>
      </c>
      <c r="F9" s="16" t="s">
        <v>81</v>
      </c>
      <c r="G9" s="22">
        <v>186.55</v>
      </c>
      <c r="H9" s="19">
        <f>G9*90/100</f>
        <v>167.89500000000001</v>
      </c>
      <c r="I9" s="19">
        <f t="shared" si="0"/>
        <v>18.655000000000001</v>
      </c>
      <c r="J9" s="70">
        <f>134.3+33.6</f>
        <v>167.9</v>
      </c>
      <c r="K9" s="84">
        <v>18.649999999999999</v>
      </c>
      <c r="L9" s="19">
        <f>SUM(J9:K9)</f>
        <v>186.55</v>
      </c>
      <c r="M9" s="71">
        <f>67.15+56.93+10.22</f>
        <v>134.30000000000001</v>
      </c>
      <c r="N9" s="84">
        <v>7.46</v>
      </c>
      <c r="O9" s="19">
        <f>SUM(M9:N9)</f>
        <v>141.76000000000002</v>
      </c>
      <c r="P9" s="20">
        <f>O9/L9</f>
        <v>0.75990351112302335</v>
      </c>
      <c r="Q9" s="19">
        <f>L9-O9</f>
        <v>44.789999999999992</v>
      </c>
      <c r="R9" s="19">
        <v>51.11</v>
      </c>
      <c r="S9" s="107">
        <f t="shared" si="2"/>
        <v>-4.9999999999954525E-3</v>
      </c>
      <c r="T9" s="84">
        <v>0</v>
      </c>
    </row>
    <row r="10" spans="1:20" s="13" customFormat="1" ht="85.5">
      <c r="A10" s="16">
        <v>4</v>
      </c>
      <c r="B10" s="51" t="s">
        <v>93</v>
      </c>
      <c r="C10" s="16" t="s">
        <v>10</v>
      </c>
      <c r="D10" s="16" t="s">
        <v>10</v>
      </c>
      <c r="E10" s="16" t="s">
        <v>32</v>
      </c>
      <c r="F10" s="16" t="s">
        <v>82</v>
      </c>
      <c r="G10" s="18">
        <v>276.42</v>
      </c>
      <c r="H10" s="19">
        <v>248.78</v>
      </c>
      <c r="I10" s="19">
        <f t="shared" si="0"/>
        <v>27.642000000000003</v>
      </c>
      <c r="J10" s="71">
        <f>199.02+49.76</f>
        <v>248.78</v>
      </c>
      <c r="K10" s="84">
        <f>22.12+5.52</f>
        <v>27.64</v>
      </c>
      <c r="L10" s="19">
        <f t="shared" ref="L10" si="3">SUM(J10:K10)</f>
        <v>276.42</v>
      </c>
      <c r="M10" s="71">
        <f>197.86+1.16+34.88</f>
        <v>233.9</v>
      </c>
      <c r="N10" s="84">
        <v>22.12</v>
      </c>
      <c r="O10" s="19">
        <f t="shared" ref="O10" si="4">SUM(M10:N10)</f>
        <v>256.02</v>
      </c>
      <c r="P10" s="20">
        <f t="shared" ref="P10:P34" si="5">O10/L10</f>
        <v>0.92619926199261982</v>
      </c>
      <c r="Q10" s="19">
        <f>L10-O10</f>
        <v>20.400000000000034</v>
      </c>
      <c r="R10" s="19">
        <v>0</v>
      </c>
      <c r="S10" s="107">
        <f t="shared" ref="S10" si="6">H10-J10</f>
        <v>0</v>
      </c>
      <c r="T10" s="84">
        <f t="shared" ref="T10:T15" si="7">I10-K10</f>
        <v>2.0000000000024443E-3</v>
      </c>
    </row>
    <row r="11" spans="1:20" s="13" customFormat="1" ht="99.75">
      <c r="A11" s="16">
        <v>5</v>
      </c>
      <c r="B11" s="51" t="s">
        <v>117</v>
      </c>
      <c r="C11" s="16" t="s">
        <v>1</v>
      </c>
      <c r="D11" s="16" t="s">
        <v>1</v>
      </c>
      <c r="E11" s="24" t="s">
        <v>36</v>
      </c>
      <c r="F11" s="25" t="s">
        <v>83</v>
      </c>
      <c r="G11" s="22">
        <v>388.6</v>
      </c>
      <c r="H11" s="19">
        <f>G11*90/100</f>
        <v>349.74</v>
      </c>
      <c r="I11" s="19">
        <f t="shared" si="0"/>
        <v>38.86</v>
      </c>
      <c r="J11" s="70">
        <f>279.8+69.94</f>
        <v>349.74</v>
      </c>
      <c r="K11" s="84">
        <v>38.86</v>
      </c>
      <c r="L11" s="19">
        <f t="shared" ref="L11:L17" si="8">SUM(J11:K11)</f>
        <v>388.6</v>
      </c>
      <c r="M11" s="70">
        <f>139.9+108.65+31.25</f>
        <v>279.8</v>
      </c>
      <c r="N11" s="84">
        <v>27.29</v>
      </c>
      <c r="O11" s="19">
        <f t="shared" ref="O11:O17" si="9">SUM(M11:N11)</f>
        <v>307.09000000000003</v>
      </c>
      <c r="P11" s="20">
        <f>O11/L11</f>
        <v>0.79024704065877516</v>
      </c>
      <c r="Q11" s="19">
        <f>L11-O11</f>
        <v>81.509999999999991</v>
      </c>
      <c r="R11" s="19">
        <v>130.74</v>
      </c>
      <c r="S11" s="107">
        <f>H11-J11</f>
        <v>0</v>
      </c>
      <c r="T11" s="84">
        <f t="shared" si="7"/>
        <v>0</v>
      </c>
    </row>
    <row r="12" spans="1:20" s="35" customFormat="1" ht="228">
      <c r="A12" s="31">
        <v>6</v>
      </c>
      <c r="B12" s="52" t="s">
        <v>94</v>
      </c>
      <c r="C12" s="31" t="s">
        <v>3</v>
      </c>
      <c r="D12" s="31"/>
      <c r="E12" s="30" t="s">
        <v>19</v>
      </c>
      <c r="F12" s="30" t="s">
        <v>46</v>
      </c>
      <c r="G12" s="32">
        <v>1295</v>
      </c>
      <c r="H12" s="33">
        <v>1165.5</v>
      </c>
      <c r="I12" s="19">
        <f t="shared" si="0"/>
        <v>129.5</v>
      </c>
      <c r="J12" s="72">
        <v>287</v>
      </c>
      <c r="K12" s="86">
        <v>0</v>
      </c>
      <c r="L12" s="19">
        <f t="shared" si="8"/>
        <v>287</v>
      </c>
      <c r="M12" s="72">
        <v>0</v>
      </c>
      <c r="N12" s="86">
        <v>0</v>
      </c>
      <c r="O12" s="19">
        <f t="shared" si="9"/>
        <v>0</v>
      </c>
      <c r="P12" s="34"/>
      <c r="Q12" s="33"/>
      <c r="R12" s="33"/>
      <c r="S12" s="107">
        <f>H12-J12</f>
        <v>878.5</v>
      </c>
      <c r="T12" s="84">
        <f t="shared" si="7"/>
        <v>129.5</v>
      </c>
    </row>
    <row r="13" spans="1:20" s="35" customFormat="1" ht="185.25">
      <c r="A13" s="31">
        <v>7</v>
      </c>
      <c r="B13" s="53" t="s">
        <v>95</v>
      </c>
      <c r="C13" s="31" t="s">
        <v>1</v>
      </c>
      <c r="D13" s="31"/>
      <c r="E13" s="36" t="s">
        <v>91</v>
      </c>
      <c r="F13" s="36"/>
      <c r="G13" s="32">
        <v>132</v>
      </c>
      <c r="H13" s="33">
        <f>G13*90/100</f>
        <v>118.8</v>
      </c>
      <c r="I13" s="19">
        <f t="shared" si="0"/>
        <v>13.2</v>
      </c>
      <c r="J13" s="73">
        <v>62.28</v>
      </c>
      <c r="K13" s="86">
        <v>6.92</v>
      </c>
      <c r="L13" s="33">
        <f t="shared" si="8"/>
        <v>69.2</v>
      </c>
      <c r="M13" s="73">
        <v>0</v>
      </c>
      <c r="N13" s="86">
        <v>0</v>
      </c>
      <c r="O13" s="98">
        <f t="shared" si="9"/>
        <v>0</v>
      </c>
      <c r="P13" s="34"/>
      <c r="Q13" s="33">
        <f t="shared" ref="Q13:Q22" si="10">L13-O13</f>
        <v>69.2</v>
      </c>
      <c r="R13" s="33"/>
      <c r="S13" s="108">
        <f t="shared" ref="S13" si="11">H13-J13</f>
        <v>56.519999999999996</v>
      </c>
      <c r="T13" s="84">
        <f t="shared" si="7"/>
        <v>6.2799999999999994</v>
      </c>
    </row>
    <row r="14" spans="1:20" s="13" customFormat="1" ht="156.75">
      <c r="A14" s="16">
        <v>8</v>
      </c>
      <c r="B14" s="54" t="s">
        <v>96</v>
      </c>
      <c r="C14" s="16" t="s">
        <v>4</v>
      </c>
      <c r="D14" s="16" t="s">
        <v>4</v>
      </c>
      <c r="E14" s="16" t="s">
        <v>28</v>
      </c>
      <c r="F14" s="16" t="s">
        <v>85</v>
      </c>
      <c r="G14" s="22">
        <v>1207</v>
      </c>
      <c r="H14" s="19">
        <f>G14*90/100</f>
        <v>1086.3</v>
      </c>
      <c r="I14" s="19">
        <f t="shared" si="0"/>
        <v>120.7</v>
      </c>
      <c r="J14" s="74">
        <f>450+450</f>
        <v>900</v>
      </c>
      <c r="K14" s="87">
        <v>100</v>
      </c>
      <c r="L14" s="19">
        <f t="shared" si="8"/>
        <v>1000</v>
      </c>
      <c r="M14" s="74">
        <v>450</v>
      </c>
      <c r="N14" s="87">
        <v>50</v>
      </c>
      <c r="O14" s="23">
        <f t="shared" si="9"/>
        <v>500</v>
      </c>
      <c r="P14" s="20">
        <f t="shared" ref="P14:P23" si="12">O14/L14</f>
        <v>0.5</v>
      </c>
      <c r="Q14" s="19">
        <f t="shared" si="10"/>
        <v>500</v>
      </c>
      <c r="R14" s="22"/>
      <c r="S14" s="107">
        <f>H14-J14</f>
        <v>186.29999999999995</v>
      </c>
      <c r="T14" s="84">
        <f t="shared" si="7"/>
        <v>20.700000000000003</v>
      </c>
    </row>
    <row r="15" spans="1:20" s="13" customFormat="1" ht="270.75">
      <c r="A15" s="16">
        <v>9</v>
      </c>
      <c r="B15" s="51" t="s">
        <v>102</v>
      </c>
      <c r="C15" s="16" t="s">
        <v>30</v>
      </c>
      <c r="D15" s="16" t="s">
        <v>30</v>
      </c>
      <c r="E15" s="16" t="s">
        <v>43</v>
      </c>
      <c r="F15" s="16" t="s">
        <v>45</v>
      </c>
      <c r="G15" s="23">
        <v>1434.81</v>
      </c>
      <c r="H15" s="19">
        <f t="shared" ref="H15:H22" si="13">G15*90/100</f>
        <v>1291.329</v>
      </c>
      <c r="I15" s="19">
        <f t="shared" si="0"/>
        <v>143.48099999999999</v>
      </c>
      <c r="J15" s="70">
        <f>1187+104.33-520+520</f>
        <v>1291.33</v>
      </c>
      <c r="K15" s="85">
        <f>74.11+11.59+57.78</f>
        <v>143.48000000000002</v>
      </c>
      <c r="L15" s="19">
        <f t="shared" si="8"/>
        <v>1434.81</v>
      </c>
      <c r="M15" s="70">
        <f>667+104.33</f>
        <v>771.33</v>
      </c>
      <c r="N15" s="85">
        <f>74.11+11.59</f>
        <v>85.7</v>
      </c>
      <c r="O15" s="23">
        <f t="shared" si="9"/>
        <v>857.03000000000009</v>
      </c>
      <c r="P15" s="20">
        <f t="shared" si="12"/>
        <v>0.59731253615461288</v>
      </c>
      <c r="Q15" s="19">
        <f t="shared" si="10"/>
        <v>577.77999999999986</v>
      </c>
      <c r="R15" s="19">
        <v>0</v>
      </c>
      <c r="S15" s="107">
        <f>H15-J15</f>
        <v>-9.9999999997635314E-4</v>
      </c>
      <c r="T15" s="84">
        <f t="shared" si="7"/>
        <v>9.9999999997635314E-4</v>
      </c>
    </row>
    <row r="16" spans="1:20" s="13" customFormat="1" ht="99.75">
      <c r="A16" s="16">
        <v>10</v>
      </c>
      <c r="B16" s="51" t="s">
        <v>97</v>
      </c>
      <c r="C16" s="16" t="s">
        <v>15</v>
      </c>
      <c r="D16" s="16" t="s">
        <v>15</v>
      </c>
      <c r="E16" s="16" t="s">
        <v>38</v>
      </c>
      <c r="F16" s="16" t="s">
        <v>48</v>
      </c>
      <c r="G16" s="23">
        <v>779.9</v>
      </c>
      <c r="H16" s="19">
        <f t="shared" si="13"/>
        <v>701.91</v>
      </c>
      <c r="I16" s="19">
        <f t="shared" si="0"/>
        <v>77.989999999999995</v>
      </c>
      <c r="J16" s="70">
        <v>701.9</v>
      </c>
      <c r="K16" s="85">
        <v>78</v>
      </c>
      <c r="L16" s="19">
        <f t="shared" si="8"/>
        <v>779.9</v>
      </c>
      <c r="M16" s="70">
        <v>651.9</v>
      </c>
      <c r="N16" s="85">
        <v>72.44</v>
      </c>
      <c r="O16" s="23">
        <f t="shared" si="9"/>
        <v>724.33999999999992</v>
      </c>
      <c r="P16" s="20">
        <f t="shared" si="12"/>
        <v>0.92876009744839072</v>
      </c>
      <c r="Q16" s="19">
        <f t="shared" si="10"/>
        <v>55.560000000000059</v>
      </c>
      <c r="R16" s="19">
        <v>0</v>
      </c>
      <c r="S16" s="107">
        <v>0</v>
      </c>
      <c r="T16" s="84">
        <v>0</v>
      </c>
    </row>
    <row r="17" spans="1:20" s="13" customFormat="1" ht="99.75">
      <c r="A17" s="16">
        <v>11</v>
      </c>
      <c r="B17" s="51" t="s">
        <v>98</v>
      </c>
      <c r="C17" s="16" t="s">
        <v>15</v>
      </c>
      <c r="D17" s="16" t="s">
        <v>15</v>
      </c>
      <c r="E17" s="21" t="s">
        <v>18</v>
      </c>
      <c r="F17" s="21" t="s">
        <v>46</v>
      </c>
      <c r="G17" s="23">
        <v>499.29</v>
      </c>
      <c r="H17" s="19">
        <f t="shared" si="13"/>
        <v>449.36099999999999</v>
      </c>
      <c r="I17" s="19">
        <f t="shared" si="0"/>
        <v>49.929000000000002</v>
      </c>
      <c r="J17" s="70">
        <v>342.74</v>
      </c>
      <c r="K17" s="85">
        <v>38.08</v>
      </c>
      <c r="L17" s="19">
        <f t="shared" si="8"/>
        <v>380.82</v>
      </c>
      <c r="M17" s="70">
        <v>179.74</v>
      </c>
      <c r="N17" s="85">
        <v>19.97</v>
      </c>
      <c r="O17" s="23">
        <f t="shared" si="9"/>
        <v>199.71</v>
      </c>
      <c r="P17" s="20">
        <f t="shared" si="12"/>
        <v>0.5244209862927367</v>
      </c>
      <c r="Q17" s="19">
        <f t="shared" si="10"/>
        <v>181.10999999999999</v>
      </c>
      <c r="R17" s="19">
        <v>0</v>
      </c>
      <c r="S17" s="107">
        <f t="shared" ref="S17:S22" si="14">H17-J17</f>
        <v>106.62099999999998</v>
      </c>
      <c r="T17" s="84">
        <f t="shared" ref="T17:T23" si="15">I17-K17</f>
        <v>11.849000000000004</v>
      </c>
    </row>
    <row r="18" spans="1:20" s="13" customFormat="1" ht="85.5">
      <c r="A18" s="16">
        <v>12</v>
      </c>
      <c r="B18" s="51" t="s">
        <v>103</v>
      </c>
      <c r="C18" s="16" t="s">
        <v>6</v>
      </c>
      <c r="D18" s="16" t="s">
        <v>29</v>
      </c>
      <c r="E18" s="16" t="s">
        <v>41</v>
      </c>
      <c r="F18" s="16" t="s">
        <v>49</v>
      </c>
      <c r="G18" s="23">
        <v>2479</v>
      </c>
      <c r="H18" s="19">
        <f t="shared" si="13"/>
        <v>2231.1</v>
      </c>
      <c r="I18" s="19">
        <f t="shared" si="0"/>
        <v>247.9</v>
      </c>
      <c r="J18" s="70">
        <f>1800+350</f>
        <v>2150</v>
      </c>
      <c r="K18" s="85">
        <v>175.55</v>
      </c>
      <c r="L18" s="19">
        <f t="shared" ref="L18" si="16">SUM(J18:K18)</f>
        <v>2325.5500000000002</v>
      </c>
      <c r="M18" s="70">
        <f>1460+120+140+45</f>
        <v>1765</v>
      </c>
      <c r="N18" s="85">
        <v>175.55</v>
      </c>
      <c r="O18" s="23">
        <f t="shared" ref="O18" si="17">SUM(M18:N18)</f>
        <v>1940.55</v>
      </c>
      <c r="P18" s="20">
        <f t="shared" si="12"/>
        <v>0.83444776504482798</v>
      </c>
      <c r="Q18" s="19">
        <f t="shared" si="10"/>
        <v>385.00000000000023</v>
      </c>
      <c r="R18" s="19">
        <v>340</v>
      </c>
      <c r="S18" s="107">
        <f t="shared" si="14"/>
        <v>81.099999999999909</v>
      </c>
      <c r="T18" s="84">
        <f t="shared" si="15"/>
        <v>72.349999999999994</v>
      </c>
    </row>
    <row r="19" spans="1:20" s="13" customFormat="1" ht="128.25">
      <c r="A19" s="16">
        <v>13</v>
      </c>
      <c r="B19" s="51" t="s">
        <v>104</v>
      </c>
      <c r="C19" s="16" t="s">
        <v>31</v>
      </c>
      <c r="D19" s="16" t="s">
        <v>31</v>
      </c>
      <c r="E19" s="16" t="s">
        <v>56</v>
      </c>
      <c r="F19" s="16" t="s">
        <v>78</v>
      </c>
      <c r="G19" s="23">
        <v>23341</v>
      </c>
      <c r="H19" s="19">
        <f t="shared" si="13"/>
        <v>21006.9</v>
      </c>
      <c r="I19" s="19">
        <f t="shared" si="0"/>
        <v>2334.1</v>
      </c>
      <c r="J19" s="70">
        <f>20549.8</f>
        <v>20549.8</v>
      </c>
      <c r="K19" s="85">
        <v>2266.65</v>
      </c>
      <c r="L19" s="19">
        <f>SUM(J19:K19)</f>
        <v>22816.45</v>
      </c>
      <c r="M19" s="70">
        <v>19850</v>
      </c>
      <c r="N19" s="85">
        <v>1933.32</v>
      </c>
      <c r="O19" s="19">
        <f>SUM(M19:N19)</f>
        <v>21783.32</v>
      </c>
      <c r="P19" s="20">
        <f t="shared" si="12"/>
        <v>0.95471994986073638</v>
      </c>
      <c r="Q19" s="19">
        <f t="shared" si="10"/>
        <v>1033.130000000001</v>
      </c>
      <c r="R19" s="19">
        <v>699.8</v>
      </c>
      <c r="S19" s="107">
        <f t="shared" si="14"/>
        <v>457.10000000000218</v>
      </c>
      <c r="T19" s="84">
        <f t="shared" si="15"/>
        <v>67.449999999999818</v>
      </c>
    </row>
    <row r="20" spans="1:20" s="13" customFormat="1" ht="199.5">
      <c r="A20" s="16">
        <v>14</v>
      </c>
      <c r="B20" s="51" t="s">
        <v>99</v>
      </c>
      <c r="C20" s="17" t="s">
        <v>14</v>
      </c>
      <c r="D20" s="17" t="s">
        <v>29</v>
      </c>
      <c r="E20" s="16" t="s">
        <v>87</v>
      </c>
      <c r="F20" s="16" t="s">
        <v>88</v>
      </c>
      <c r="G20" s="23">
        <v>764.88</v>
      </c>
      <c r="H20" s="19">
        <f t="shared" si="13"/>
        <v>688.39199999999994</v>
      </c>
      <c r="I20" s="19">
        <f t="shared" si="0"/>
        <v>76.488</v>
      </c>
      <c r="J20" s="70">
        <v>489</v>
      </c>
      <c r="K20" s="85">
        <f>21+21</f>
        <v>42</v>
      </c>
      <c r="L20" s="19">
        <f>SUM(J20:K20)</f>
        <v>531</v>
      </c>
      <c r="M20" s="70">
        <v>189</v>
      </c>
      <c r="N20" s="85">
        <v>21</v>
      </c>
      <c r="O20" s="23">
        <f>SUM(M20:N20)</f>
        <v>210</v>
      </c>
      <c r="P20" s="20">
        <f t="shared" si="12"/>
        <v>0.39548022598870058</v>
      </c>
      <c r="Q20" s="19">
        <f t="shared" si="10"/>
        <v>321</v>
      </c>
      <c r="R20" s="19">
        <v>0</v>
      </c>
      <c r="S20" s="107">
        <f t="shared" si="14"/>
        <v>199.39199999999994</v>
      </c>
      <c r="T20" s="84">
        <f t="shared" si="15"/>
        <v>34.488</v>
      </c>
    </row>
    <row r="21" spans="1:20" s="13" customFormat="1" ht="156.75">
      <c r="A21" s="16">
        <v>15</v>
      </c>
      <c r="B21" s="51" t="s">
        <v>100</v>
      </c>
      <c r="C21" s="16" t="s">
        <v>11</v>
      </c>
      <c r="D21" s="16"/>
      <c r="E21" s="16" t="s">
        <v>59</v>
      </c>
      <c r="F21" s="16" t="s">
        <v>60</v>
      </c>
      <c r="G21" s="23">
        <v>468.65</v>
      </c>
      <c r="H21" s="19">
        <f t="shared" si="13"/>
        <v>421.78500000000003</v>
      </c>
      <c r="I21" s="19">
        <f t="shared" si="0"/>
        <v>46.865000000000002</v>
      </c>
      <c r="J21" s="70">
        <f>84+190</f>
        <v>274</v>
      </c>
      <c r="K21" s="85">
        <v>9.34</v>
      </c>
      <c r="L21" s="19">
        <f>SUM(J21:K21)</f>
        <v>283.33999999999997</v>
      </c>
      <c r="M21" s="70">
        <v>84</v>
      </c>
      <c r="N21" s="85">
        <v>0</v>
      </c>
      <c r="O21" s="23">
        <f>SUM(M21:N21)</f>
        <v>84</v>
      </c>
      <c r="P21" s="20">
        <f t="shared" si="12"/>
        <v>0.29646361262087956</v>
      </c>
      <c r="Q21" s="19">
        <f t="shared" si="10"/>
        <v>199.33999999999997</v>
      </c>
      <c r="R21" s="19"/>
      <c r="S21" s="107">
        <f t="shared" si="14"/>
        <v>147.78500000000003</v>
      </c>
      <c r="T21" s="84">
        <f t="shared" si="15"/>
        <v>37.525000000000006</v>
      </c>
    </row>
    <row r="22" spans="1:20" s="13" customFormat="1" ht="128.25">
      <c r="A22" s="16">
        <v>16</v>
      </c>
      <c r="B22" s="51" t="s">
        <v>101</v>
      </c>
      <c r="C22" s="16" t="s">
        <v>11</v>
      </c>
      <c r="D22" s="16" t="s">
        <v>55</v>
      </c>
      <c r="E22" s="16" t="s">
        <v>40</v>
      </c>
      <c r="F22" s="16" t="s">
        <v>50</v>
      </c>
      <c r="G22" s="23">
        <v>1036.95</v>
      </c>
      <c r="H22" s="19">
        <f t="shared" si="13"/>
        <v>933.255</v>
      </c>
      <c r="I22" s="19">
        <f t="shared" si="0"/>
        <v>103.69499999999999</v>
      </c>
      <c r="J22" s="70">
        <v>350</v>
      </c>
      <c r="K22" s="85">
        <v>38.89</v>
      </c>
      <c r="L22" s="19">
        <f>SUM(J22:K22)</f>
        <v>388.89</v>
      </c>
      <c r="M22" s="70">
        <v>280</v>
      </c>
      <c r="N22" s="85">
        <v>0</v>
      </c>
      <c r="O22" s="23">
        <f>SUM(M22:N22)</f>
        <v>280</v>
      </c>
      <c r="P22" s="20">
        <f t="shared" si="12"/>
        <v>0.71999794286302043</v>
      </c>
      <c r="Q22" s="19">
        <f t="shared" si="10"/>
        <v>108.88999999999999</v>
      </c>
      <c r="R22" s="19">
        <v>350</v>
      </c>
      <c r="S22" s="107">
        <f t="shared" si="14"/>
        <v>583.255</v>
      </c>
      <c r="T22" s="84">
        <f t="shared" si="15"/>
        <v>64.804999999999993</v>
      </c>
    </row>
    <row r="23" spans="1:20" s="41" customFormat="1" ht="28.5">
      <c r="A23" s="29"/>
      <c r="B23" s="55" t="s">
        <v>106</v>
      </c>
      <c r="C23" s="29"/>
      <c r="D23" s="29"/>
      <c r="E23" s="29"/>
      <c r="F23" s="29"/>
      <c r="G23" s="44">
        <f>SUM(G7:G22)</f>
        <v>35084.11</v>
      </c>
      <c r="H23" s="44">
        <f t="shared" ref="H23:S23" si="18">SUM(H7:H22)</f>
        <v>31575.701000000001</v>
      </c>
      <c r="I23" s="101">
        <f t="shared" si="0"/>
        <v>3508.4109999999996</v>
      </c>
      <c r="J23" s="75">
        <f t="shared" si="18"/>
        <v>28814.32</v>
      </c>
      <c r="K23" s="88">
        <f t="shared" si="18"/>
        <v>3056.27</v>
      </c>
      <c r="L23" s="44">
        <f t="shared" si="18"/>
        <v>31870.59</v>
      </c>
      <c r="M23" s="75">
        <f t="shared" si="18"/>
        <v>25363.14</v>
      </c>
      <c r="N23" s="88">
        <f t="shared" si="18"/>
        <v>2464.36</v>
      </c>
      <c r="O23" s="44">
        <f t="shared" si="18"/>
        <v>27827.5</v>
      </c>
      <c r="P23" s="10">
        <f t="shared" si="12"/>
        <v>0.8731404093868359</v>
      </c>
      <c r="Q23" s="44">
        <f t="shared" si="18"/>
        <v>3756.0900000000011</v>
      </c>
      <c r="R23" s="44">
        <f t="shared" si="18"/>
        <v>1766.05</v>
      </c>
      <c r="S23" s="109">
        <f t="shared" si="18"/>
        <v>2761.3710000000019</v>
      </c>
      <c r="T23" s="84">
        <f t="shared" si="15"/>
        <v>452.14099999999962</v>
      </c>
    </row>
    <row r="24" spans="1:20" s="41" customFormat="1" ht="14.25">
      <c r="A24" s="29"/>
      <c r="B24" s="55"/>
      <c r="C24" s="29"/>
      <c r="D24" s="29"/>
      <c r="E24" s="29"/>
      <c r="F24" s="29"/>
      <c r="G24" s="44"/>
      <c r="H24" s="44"/>
      <c r="I24" s="44"/>
      <c r="J24" s="75"/>
      <c r="K24" s="88"/>
      <c r="L24" s="44"/>
      <c r="M24" s="75"/>
      <c r="N24" s="88"/>
      <c r="O24" s="44"/>
      <c r="P24" s="10"/>
      <c r="Q24" s="44"/>
      <c r="R24" s="44"/>
      <c r="S24" s="109"/>
      <c r="T24" s="116"/>
    </row>
    <row r="25" spans="1:20" s="41" customFormat="1" ht="20.25">
      <c r="A25" s="45" t="s">
        <v>107</v>
      </c>
      <c r="B25" s="56" t="s">
        <v>108</v>
      </c>
      <c r="C25" s="27"/>
      <c r="D25" s="27"/>
      <c r="E25" s="27"/>
      <c r="F25" s="27"/>
      <c r="G25" s="40"/>
      <c r="H25" s="28"/>
      <c r="I25" s="28"/>
      <c r="J25" s="76"/>
      <c r="K25" s="89"/>
      <c r="L25" s="28"/>
      <c r="M25" s="76"/>
      <c r="N25" s="89"/>
      <c r="O25" s="28"/>
      <c r="P25" s="42"/>
      <c r="Q25" s="28"/>
      <c r="R25" s="28"/>
      <c r="S25" s="110"/>
      <c r="T25" s="116"/>
    </row>
    <row r="26" spans="1:20" s="13" customFormat="1" ht="156.75">
      <c r="A26" s="16">
        <v>17</v>
      </c>
      <c r="B26" s="51" t="s">
        <v>118</v>
      </c>
      <c r="C26" s="16" t="s">
        <v>10</v>
      </c>
      <c r="D26" s="16" t="s">
        <v>10</v>
      </c>
      <c r="E26" s="21" t="s">
        <v>18</v>
      </c>
      <c r="F26" s="21" t="s">
        <v>84</v>
      </c>
      <c r="G26" s="22">
        <v>181</v>
      </c>
      <c r="H26" s="19">
        <f>G26*90/100</f>
        <v>162.9</v>
      </c>
      <c r="I26" s="19">
        <f>G26*10/100</f>
        <v>18.100000000000001</v>
      </c>
      <c r="J26" s="71">
        <f>64.8+98.1</f>
        <v>162.89999999999998</v>
      </c>
      <c r="K26" s="84">
        <v>7.2</v>
      </c>
      <c r="L26" s="19">
        <f>SUM(J26:K26)</f>
        <v>170.09999999999997</v>
      </c>
      <c r="M26" s="71">
        <v>50.8</v>
      </c>
      <c r="N26" s="84">
        <v>0</v>
      </c>
      <c r="O26" s="19">
        <f>SUM(M26:N26)</f>
        <v>50.8</v>
      </c>
      <c r="P26" s="20">
        <f t="shared" si="5"/>
        <v>0.29864785420340978</v>
      </c>
      <c r="Q26" s="19">
        <f t="shared" ref="Q26" si="19">L26-O26</f>
        <v>119.29999999999997</v>
      </c>
      <c r="R26" s="19">
        <v>64.8</v>
      </c>
      <c r="S26" s="107">
        <f t="shared" ref="S26:T28" si="20">H26-J26</f>
        <v>0</v>
      </c>
      <c r="T26" s="84">
        <f t="shared" si="20"/>
        <v>10.900000000000002</v>
      </c>
    </row>
    <row r="27" spans="1:20" s="13" customFormat="1" ht="114">
      <c r="A27" s="16">
        <v>18</v>
      </c>
      <c r="B27" s="51" t="s">
        <v>119</v>
      </c>
      <c r="C27" s="16" t="s">
        <v>1</v>
      </c>
      <c r="D27" s="16" t="s">
        <v>1</v>
      </c>
      <c r="E27" s="16" t="s">
        <v>33</v>
      </c>
      <c r="F27" s="16" t="s">
        <v>51</v>
      </c>
      <c r="G27" s="19">
        <v>450</v>
      </c>
      <c r="H27" s="19">
        <f>G27*90/100</f>
        <v>405</v>
      </c>
      <c r="I27" s="19">
        <f>G27*10/100</f>
        <v>45</v>
      </c>
      <c r="J27" s="71">
        <v>405</v>
      </c>
      <c r="K27" s="84">
        <v>45</v>
      </c>
      <c r="L27" s="19">
        <f>SUM(J27:K27)</f>
        <v>450</v>
      </c>
      <c r="M27" s="71">
        <v>194.4</v>
      </c>
      <c r="N27" s="84">
        <v>44.02</v>
      </c>
      <c r="O27" s="19">
        <f>SUM(M27:N27)</f>
        <v>238.42000000000002</v>
      </c>
      <c r="P27" s="20">
        <f t="shared" si="5"/>
        <v>0.52982222222222231</v>
      </c>
      <c r="Q27" s="19">
        <f>L27-O27</f>
        <v>211.57999999999998</v>
      </c>
      <c r="R27" s="19">
        <v>211</v>
      </c>
      <c r="S27" s="107">
        <f t="shared" si="20"/>
        <v>0</v>
      </c>
      <c r="T27" s="84">
        <f t="shared" si="20"/>
        <v>0</v>
      </c>
    </row>
    <row r="28" spans="1:20" s="13" customFormat="1" ht="142.5">
      <c r="A28" s="16">
        <v>19</v>
      </c>
      <c r="B28" s="51" t="s">
        <v>120</v>
      </c>
      <c r="C28" s="16" t="s">
        <v>15</v>
      </c>
      <c r="D28" s="16"/>
      <c r="E28" s="21" t="s">
        <v>90</v>
      </c>
      <c r="F28" s="21" t="s">
        <v>89</v>
      </c>
      <c r="G28" s="23">
        <v>300</v>
      </c>
      <c r="H28" s="19">
        <v>300</v>
      </c>
      <c r="I28" s="19"/>
      <c r="J28" s="70">
        <v>240</v>
      </c>
      <c r="K28" s="85">
        <v>0</v>
      </c>
      <c r="L28" s="19">
        <f t="shared" ref="L28:L29" si="21">SUM(J28:K28)</f>
        <v>240</v>
      </c>
      <c r="M28" s="70">
        <v>0</v>
      </c>
      <c r="N28" s="85">
        <v>0</v>
      </c>
      <c r="O28" s="23">
        <f t="shared" ref="O28:O29" si="22">SUM(M28:N28)</f>
        <v>0</v>
      </c>
      <c r="P28" s="20"/>
      <c r="Q28" s="19">
        <f t="shared" ref="Q28:Q31" si="23">L28-O28</f>
        <v>240</v>
      </c>
      <c r="R28" s="19"/>
      <c r="S28" s="111">
        <f t="shared" si="20"/>
        <v>60</v>
      </c>
      <c r="T28" s="84">
        <f t="shared" si="20"/>
        <v>0</v>
      </c>
    </row>
    <row r="29" spans="1:20" s="13" customFormat="1" ht="99.75">
      <c r="A29" s="16">
        <v>20</v>
      </c>
      <c r="B29" s="51" t="s">
        <v>121</v>
      </c>
      <c r="C29" s="17" t="s">
        <v>0</v>
      </c>
      <c r="D29" s="17" t="s">
        <v>0</v>
      </c>
      <c r="E29" s="26" t="s">
        <v>39</v>
      </c>
      <c r="F29" s="26"/>
      <c r="G29" s="19">
        <f>J29</f>
        <v>2005.65</v>
      </c>
      <c r="H29" s="19">
        <f>G29*100/100</f>
        <v>2005.65</v>
      </c>
      <c r="I29" s="19">
        <v>33</v>
      </c>
      <c r="J29" s="71">
        <f>1667.9+47.49+138.74+151.52</f>
        <v>2005.65</v>
      </c>
      <c r="K29" s="84">
        <v>33</v>
      </c>
      <c r="L29" s="19">
        <f t="shared" si="21"/>
        <v>2038.65</v>
      </c>
      <c r="M29" s="71">
        <f>1656.06+11.84+47.49+110.22+32.72+88.33</f>
        <v>1946.6599999999999</v>
      </c>
      <c r="N29" s="84">
        <v>33</v>
      </c>
      <c r="O29" s="23">
        <f t="shared" si="22"/>
        <v>1979.6599999999999</v>
      </c>
      <c r="P29" s="20">
        <f t="shared" si="5"/>
        <v>0.97106418463198674</v>
      </c>
      <c r="Q29" s="19">
        <f t="shared" si="23"/>
        <v>58.990000000000236</v>
      </c>
      <c r="R29" s="19">
        <v>0</v>
      </c>
      <c r="S29" s="112">
        <v>0</v>
      </c>
      <c r="T29" s="84">
        <f t="shared" ref="T29:T34" si="24">I29-K29</f>
        <v>0</v>
      </c>
    </row>
    <row r="30" spans="1:20" s="13" customFormat="1" ht="199.5">
      <c r="A30" s="16">
        <v>21</v>
      </c>
      <c r="B30" s="51" t="s">
        <v>122</v>
      </c>
      <c r="C30" s="16" t="s">
        <v>11</v>
      </c>
      <c r="D30" s="16" t="s">
        <v>11</v>
      </c>
      <c r="E30" s="16" t="s">
        <v>57</v>
      </c>
      <c r="F30" s="16" t="s">
        <v>47</v>
      </c>
      <c r="G30" s="23">
        <v>1500</v>
      </c>
      <c r="H30" s="19">
        <f>G30*100/100</f>
        <v>1500</v>
      </c>
      <c r="I30" s="19"/>
      <c r="J30" s="70">
        <v>500</v>
      </c>
      <c r="K30" s="85">
        <v>0</v>
      </c>
      <c r="L30" s="19">
        <f>SUM(J30:K30)</f>
        <v>500</v>
      </c>
      <c r="M30" s="70">
        <v>0</v>
      </c>
      <c r="N30" s="85">
        <v>0</v>
      </c>
      <c r="O30" s="23">
        <f>SUM(M30:N30)</f>
        <v>0</v>
      </c>
      <c r="P30" s="20">
        <f t="shared" si="5"/>
        <v>0</v>
      </c>
      <c r="Q30" s="19">
        <f t="shared" si="23"/>
        <v>500</v>
      </c>
      <c r="R30" s="19">
        <v>500</v>
      </c>
      <c r="S30" s="107">
        <f t="shared" ref="S30:S31" si="25">H30-J30</f>
        <v>1000</v>
      </c>
      <c r="T30" s="84">
        <f t="shared" si="24"/>
        <v>0</v>
      </c>
    </row>
    <row r="31" spans="1:20" s="13" customFormat="1" ht="171">
      <c r="A31" s="16">
        <v>22</v>
      </c>
      <c r="B31" s="51" t="s">
        <v>123</v>
      </c>
      <c r="C31" s="16" t="s">
        <v>4</v>
      </c>
      <c r="D31" s="16" t="s">
        <v>4</v>
      </c>
      <c r="E31" s="16" t="s">
        <v>12</v>
      </c>
      <c r="F31" s="16" t="s">
        <v>49</v>
      </c>
      <c r="G31" s="23">
        <v>1392.24</v>
      </c>
      <c r="H31" s="19">
        <f t="shared" ref="H31:H32" si="26">G31*90/100</f>
        <v>1253.0160000000001</v>
      </c>
      <c r="I31" s="19">
        <f>G31*10/100</f>
        <v>139.22399999999999</v>
      </c>
      <c r="J31" s="71">
        <f>1150+103.016</f>
        <v>1253.0160000000001</v>
      </c>
      <c r="K31" s="85">
        <f>127.79+11.43</f>
        <v>139.22</v>
      </c>
      <c r="L31" s="19">
        <f t="shared" ref="L31" si="27">SUM(J31:K31)</f>
        <v>1392.2360000000001</v>
      </c>
      <c r="M31" s="70">
        <f>1150+103.02</f>
        <v>1253.02</v>
      </c>
      <c r="N31" s="85">
        <f>127.79+11.43</f>
        <v>139.22</v>
      </c>
      <c r="O31" s="23">
        <f t="shared" ref="O31:O32" si="28">SUM(M31:N31)</f>
        <v>1392.24</v>
      </c>
      <c r="P31" s="20">
        <f t="shared" si="5"/>
        <v>1.0000028730761163</v>
      </c>
      <c r="Q31" s="19">
        <f t="shared" si="23"/>
        <v>-3.9999999999054126E-3</v>
      </c>
      <c r="R31" s="19">
        <v>0</v>
      </c>
      <c r="S31" s="107">
        <f t="shared" si="25"/>
        <v>0</v>
      </c>
      <c r="T31" s="84">
        <f t="shared" si="24"/>
        <v>3.9999999999906777E-3</v>
      </c>
    </row>
    <row r="32" spans="1:20" s="13" customFormat="1" ht="228">
      <c r="A32" s="16">
        <v>23</v>
      </c>
      <c r="B32" s="51" t="s">
        <v>124</v>
      </c>
      <c r="C32" s="16" t="s">
        <v>4</v>
      </c>
      <c r="D32" s="16" t="s">
        <v>4</v>
      </c>
      <c r="E32" s="26" t="s">
        <v>42</v>
      </c>
      <c r="F32" s="16" t="s">
        <v>86</v>
      </c>
      <c r="G32" s="23">
        <v>950.5</v>
      </c>
      <c r="H32" s="19">
        <f t="shared" si="26"/>
        <v>855.45</v>
      </c>
      <c r="I32" s="19">
        <f>G32*10/100</f>
        <v>95.05</v>
      </c>
      <c r="J32" s="71">
        <f>340+515.45</f>
        <v>855.45</v>
      </c>
      <c r="K32" s="85">
        <f>35+60.05</f>
        <v>95.05</v>
      </c>
      <c r="L32" s="19">
        <f>SUM(J32:K32)</f>
        <v>950.5</v>
      </c>
      <c r="M32" s="70">
        <f>340+515.45</f>
        <v>855.45</v>
      </c>
      <c r="N32" s="85">
        <f>35+60.05</f>
        <v>95.05</v>
      </c>
      <c r="O32" s="23">
        <f t="shared" si="28"/>
        <v>950.5</v>
      </c>
      <c r="P32" s="20">
        <f t="shared" si="5"/>
        <v>1</v>
      </c>
      <c r="Q32" s="19">
        <f>L32-O32</f>
        <v>0</v>
      </c>
      <c r="R32" s="19">
        <v>0</v>
      </c>
      <c r="S32" s="107">
        <f>H32-J32</f>
        <v>0</v>
      </c>
      <c r="T32" s="84">
        <f t="shared" si="24"/>
        <v>0</v>
      </c>
    </row>
    <row r="33" spans="1:20" s="41" customFormat="1" ht="42.75">
      <c r="A33" s="29"/>
      <c r="B33" s="55" t="s">
        <v>109</v>
      </c>
      <c r="C33" s="29"/>
      <c r="D33" s="29"/>
      <c r="E33" s="43"/>
      <c r="F33" s="29"/>
      <c r="G33" s="40">
        <f>SUM(G26:G32)</f>
        <v>6779.3899999999994</v>
      </c>
      <c r="H33" s="40">
        <f t="shared" ref="H33:S33" si="29">SUM(H26:H32)</f>
        <v>6482.0160000000005</v>
      </c>
      <c r="I33" s="119">
        <f>G33*10/100</f>
        <v>677.93899999999996</v>
      </c>
      <c r="J33" s="76">
        <f t="shared" si="29"/>
        <v>5422.0160000000005</v>
      </c>
      <c r="K33" s="89">
        <f t="shared" si="29"/>
        <v>319.47000000000003</v>
      </c>
      <c r="L33" s="40">
        <f t="shared" si="29"/>
        <v>5741.4859999999999</v>
      </c>
      <c r="M33" s="76">
        <f t="shared" si="29"/>
        <v>4300.33</v>
      </c>
      <c r="N33" s="89">
        <f t="shared" si="29"/>
        <v>311.29000000000002</v>
      </c>
      <c r="O33" s="40">
        <f t="shared" si="29"/>
        <v>4611.62</v>
      </c>
      <c r="P33" s="10">
        <f t="shared" si="5"/>
        <v>0.80321017938561545</v>
      </c>
      <c r="Q33" s="44">
        <f t="shared" si="29"/>
        <v>1129.8660000000002</v>
      </c>
      <c r="R33" s="44">
        <f t="shared" si="29"/>
        <v>775.8</v>
      </c>
      <c r="S33" s="109">
        <f t="shared" si="29"/>
        <v>1060</v>
      </c>
      <c r="T33" s="84">
        <f t="shared" si="24"/>
        <v>358.46899999999994</v>
      </c>
    </row>
    <row r="34" spans="1:20" ht="12.75">
      <c r="A34" s="4"/>
      <c r="B34" s="57" t="s">
        <v>110</v>
      </c>
      <c r="C34" s="6"/>
      <c r="D34" s="6"/>
      <c r="E34" s="4"/>
      <c r="F34" s="4"/>
      <c r="G34" s="122">
        <f>G23+G33</f>
        <v>41863.5</v>
      </c>
      <c r="H34" s="122">
        <f t="shared" ref="H34:O34" si="30">H23+H33</f>
        <v>38057.717000000004</v>
      </c>
      <c r="I34" s="101">
        <f>G34*10/100</f>
        <v>4186.3500000000004</v>
      </c>
      <c r="J34" s="120">
        <f t="shared" si="30"/>
        <v>34236.336000000003</v>
      </c>
      <c r="K34" s="121">
        <f t="shared" si="30"/>
        <v>3375.74</v>
      </c>
      <c r="L34" s="122">
        <f t="shared" si="30"/>
        <v>37612.076000000001</v>
      </c>
      <c r="M34" s="120">
        <f t="shared" si="30"/>
        <v>29663.47</v>
      </c>
      <c r="N34" s="121">
        <f t="shared" si="30"/>
        <v>2775.65</v>
      </c>
      <c r="O34" s="122">
        <f t="shared" si="30"/>
        <v>32439.119999999999</v>
      </c>
      <c r="P34" s="123">
        <f t="shared" si="5"/>
        <v>0.86246555494570409</v>
      </c>
      <c r="Q34" s="122">
        <f t="shared" ref="Q34:S34" si="31">Q23+Q33</f>
        <v>4885.956000000001</v>
      </c>
      <c r="R34" s="122">
        <f t="shared" si="31"/>
        <v>2541.85</v>
      </c>
      <c r="S34" s="124">
        <f t="shared" si="31"/>
        <v>3821.3710000000019</v>
      </c>
      <c r="T34" s="125">
        <f t="shared" si="24"/>
        <v>810.61000000000058</v>
      </c>
    </row>
    <row r="35" spans="1:20" ht="14.25">
      <c r="A35" s="58"/>
      <c r="B35" s="59"/>
      <c r="C35" s="60"/>
      <c r="D35" s="60"/>
      <c r="E35" s="58"/>
      <c r="F35" s="58"/>
      <c r="G35" s="61"/>
      <c r="H35" s="61"/>
      <c r="I35" s="61"/>
      <c r="J35" s="77"/>
      <c r="K35" s="90"/>
      <c r="L35" s="61"/>
      <c r="M35" s="77"/>
      <c r="N35" s="90"/>
      <c r="O35" s="61"/>
      <c r="P35" s="62"/>
      <c r="Q35" s="61"/>
      <c r="R35" s="61"/>
      <c r="S35" s="77"/>
      <c r="T35" s="117"/>
    </row>
  </sheetData>
  <pageMargins left="0.31496062992125984" right="0.27559055118110237" top="0.38" bottom="0.39370078740157483" header="0.22" footer="0.19685039370078741"/>
  <pageSetup paperSize="9" scale="85" orientation="landscape" verticalDpi="0" r:id="rId1"/>
  <headerFooter>
    <oddFooter>&amp;CPage-&amp;P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2021-01-01T18:14:15Z</dcterms:modified>
</cp:coreProperties>
</file>